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Accounts Summary" sheetId="1" r:id="rId1"/>
    <sheet name="Budget" sheetId="2" r:id="rId2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2"/>
  <c r="D42"/>
  <c r="D41"/>
  <c r="D40"/>
  <c r="D39"/>
  <c r="D38"/>
  <c r="D37"/>
  <c r="C36"/>
  <c r="D35"/>
  <c r="D34"/>
  <c r="D33"/>
  <c r="D32"/>
  <c r="D31"/>
  <c r="D30"/>
  <c r="C28"/>
  <c r="B28"/>
  <c r="B44" s="1"/>
  <c r="D27"/>
  <c r="D26"/>
  <c r="D28" s="1"/>
  <c r="D24"/>
  <c r="D44" s="1"/>
  <c r="C24"/>
  <c r="C15"/>
  <c r="B15"/>
  <c r="C14"/>
  <c r="B14"/>
  <c r="D10"/>
  <c r="D8"/>
  <c r="D19" s="1"/>
  <c r="C8"/>
  <c r="B7"/>
  <c r="B8" s="1"/>
  <c r="C69" i="1"/>
  <c r="D67"/>
  <c r="D69" s="1"/>
  <c r="C64"/>
  <c r="C71" s="1"/>
  <c r="D63"/>
  <c r="D62"/>
  <c r="D61"/>
  <c r="D64" s="1"/>
  <c r="D71" s="1"/>
  <c r="E43"/>
  <c r="F43" s="1"/>
  <c r="E42"/>
  <c r="F42" s="1"/>
  <c r="E41"/>
  <c r="F41" s="1"/>
  <c r="E40"/>
  <c r="F40" s="1"/>
  <c r="F39"/>
  <c r="E39"/>
  <c r="E38"/>
  <c r="F38" s="1"/>
  <c r="D37"/>
  <c r="E37" s="1"/>
  <c r="F37" s="1"/>
  <c r="E36"/>
  <c r="F36" s="1"/>
  <c r="E35"/>
  <c r="F35" s="1"/>
  <c r="E34"/>
  <c r="F34" s="1"/>
  <c r="F33"/>
  <c r="E33"/>
  <c r="E32"/>
  <c r="F32" s="1"/>
  <c r="E31"/>
  <c r="F31" s="1"/>
  <c r="D29"/>
  <c r="E29" s="1"/>
  <c r="F29" s="1"/>
  <c r="C29"/>
  <c r="C45" s="1"/>
  <c r="C73" s="1"/>
  <c r="E28"/>
  <c r="F28" s="1"/>
  <c r="F27"/>
  <c r="E27"/>
  <c r="D25"/>
  <c r="D45" s="1"/>
  <c r="E18"/>
  <c r="F18" s="1"/>
  <c r="E17"/>
  <c r="F17" s="1"/>
  <c r="D16"/>
  <c r="E16" s="1"/>
  <c r="F16" s="1"/>
  <c r="C16"/>
  <c r="D15"/>
  <c r="E15" s="1"/>
  <c r="F15" s="1"/>
  <c r="C15"/>
  <c r="E14"/>
  <c r="F14" s="1"/>
  <c r="E13"/>
  <c r="F13" s="1"/>
  <c r="E12"/>
  <c r="F12" s="1"/>
  <c r="E11"/>
  <c r="F11" s="1"/>
  <c r="D9"/>
  <c r="D20" s="1"/>
  <c r="C8"/>
  <c r="E8" s="1"/>
  <c r="F8" s="1"/>
  <c r="F7"/>
  <c r="E7"/>
  <c r="E6"/>
  <c r="F6" s="1"/>
  <c r="B19" i="2" l="1"/>
  <c r="B46" s="1"/>
  <c r="C19"/>
  <c r="C46" s="1"/>
  <c r="D46"/>
  <c r="E45" i="1"/>
  <c r="F45" s="1"/>
  <c r="D73"/>
  <c r="D74" s="1"/>
  <c r="D72"/>
  <c r="D48"/>
  <c r="D77"/>
  <c r="C9"/>
  <c r="C20" s="1"/>
  <c r="E20" s="1"/>
  <c r="F20" s="1"/>
  <c r="C77"/>
  <c r="E25"/>
  <c r="F25" s="1"/>
  <c r="E9" l="1"/>
  <c r="F9" s="1"/>
  <c r="C72"/>
  <c r="C74" s="1"/>
  <c r="C48"/>
</calcChain>
</file>

<file path=xl/comments1.xml><?xml version="1.0" encoding="utf-8"?>
<comments xmlns="http://schemas.openxmlformats.org/spreadsheetml/2006/main">
  <authors>
    <author>Anwen Quartley</author>
  </authors>
  <commentList>
    <comment ref="B7" authorId="0">
      <text>
        <r>
          <rPr>
            <b/>
            <sz val="9"/>
            <color indexed="81"/>
            <rFont val="Tahoma"/>
            <family val="2"/>
          </rPr>
          <t>Anwen Quartley:</t>
        </r>
        <r>
          <rPr>
            <sz val="9"/>
            <color indexed="81"/>
            <rFont val="Tahoma"/>
            <family val="2"/>
          </rPr>
          <t xml:space="preserve">
includes owing subs from previous year reported last year</t>
        </r>
      </text>
    </comment>
    <comment ref="B15" authorId="0">
      <text>
        <r>
          <rPr>
            <b/>
            <sz val="9"/>
            <color indexed="81"/>
            <rFont val="Tahoma"/>
            <family val="2"/>
          </rPr>
          <t>Anwen Quartley:</t>
        </r>
        <r>
          <rPr>
            <sz val="9"/>
            <color indexed="81"/>
            <rFont val="Tahoma"/>
            <family val="2"/>
          </rPr>
          <t xml:space="preserve">
includes interest reported last year</t>
        </r>
      </text>
    </comment>
  </commentList>
</comments>
</file>

<file path=xl/sharedStrings.xml><?xml version="1.0" encoding="utf-8"?>
<sst xmlns="http://schemas.openxmlformats.org/spreadsheetml/2006/main" count="122" uniqueCount="79">
  <si>
    <t>2024-2025 Actuals</t>
  </si>
  <si>
    <t>2025-2026 Actuals</t>
  </si>
  <si>
    <t>Difference</t>
  </si>
  <si>
    <t>% increase/decrease</t>
  </si>
  <si>
    <t>Notes (2025/26)</t>
  </si>
  <si>
    <t>Opening Balance 31.03.2025</t>
  </si>
  <si>
    <t>Income</t>
  </si>
  <si>
    <t xml:space="preserve">Junior Subs </t>
  </si>
  <si>
    <t>U18 subs</t>
  </si>
  <si>
    <t xml:space="preserve">Adult Subs </t>
  </si>
  <si>
    <t>Total Subs</t>
  </si>
  <si>
    <t>20% increase on subs added this season/fewer members though due to uni leavers</t>
  </si>
  <si>
    <t>Junior Match fees (incl payp)</t>
  </si>
  <si>
    <t>Fewer tournaments entered as no U14s</t>
  </si>
  <si>
    <t>Adult Match fees (incl payp)</t>
  </si>
  <si>
    <t>No adult PAYP</t>
  </si>
  <si>
    <t>Non playing membership</t>
  </si>
  <si>
    <t>Kit Sales</t>
  </si>
  <si>
    <t>Socials (incl Jasons)</t>
  </si>
  <si>
    <t>jasons takings, dinner dance, quiz, junior event, mens social, ceiledh</t>
  </si>
  <si>
    <t>Misc</t>
  </si>
  <si>
    <t>includes £4.86 interest on pledge account</t>
  </si>
  <si>
    <t>Justgiving link. Not reported in 24/25</t>
  </si>
  <si>
    <t>Sponsorship</t>
  </si>
  <si>
    <t>Total Income</t>
  </si>
  <si>
    <t>Overall, 1% increase in income. Jo recommended a 20% increase to cover our increasing costs - this was effective in ensuring that our income did not fall below what we needed.</t>
  </si>
  <si>
    <t>Bank Statement Income Check</t>
  </si>
  <si>
    <t>Expenditure</t>
  </si>
  <si>
    <t>Umpiring</t>
  </si>
  <si>
    <t>Claims in after 31st March. Also 3 teams not 4</t>
  </si>
  <si>
    <t>Pitch hire - adults</t>
  </si>
  <si>
    <t>3 teams not 4</t>
  </si>
  <si>
    <t>Pitch hire - juniors</t>
  </si>
  <si>
    <t>??</t>
  </si>
  <si>
    <t>Total pitch hire</t>
  </si>
  <si>
    <t>Teas</t>
  </si>
  <si>
    <t>Association fees</t>
  </si>
  <si>
    <t>Insurance/Eng hockey m'ship</t>
  </si>
  <si>
    <t>EH have changed way they charge</t>
  </si>
  <si>
    <t>Training expenses/Equipment</t>
  </si>
  <si>
    <t>Coaching costs</t>
  </si>
  <si>
    <t>Reuben coaching</t>
  </si>
  <si>
    <t>Travel</t>
  </si>
  <si>
    <t>Fundraising Payouts</t>
  </si>
  <si>
    <t>Includes £2003 of charity payouts from previous years Jasons tournaments that had not been done</t>
  </si>
  <si>
    <t>Subscriptions (Teamo)</t>
  </si>
  <si>
    <t>Credit card fees/bank charges</t>
  </si>
  <si>
    <t>Lloyds only started charging this at end of 24/25 season</t>
  </si>
  <si>
    <t>Socials</t>
  </si>
  <si>
    <t xml:space="preserve">includes £1311 to Dainton + band + engraving + junior engraving + quiz + Mens social </t>
  </si>
  <si>
    <t>Tournaments</t>
  </si>
  <si>
    <t>Kit</t>
  </si>
  <si>
    <t>Total Expenditure</t>
  </si>
  <si>
    <t>Total expenditure -4%. Increase in RC and pitch hire , but drop in teams has balanced this out</t>
  </si>
  <si>
    <t>Bank Statement Expenditure Check</t>
  </si>
  <si>
    <r>
      <t>Profit/</t>
    </r>
    <r>
      <rPr>
        <b/>
        <sz val="11"/>
        <color rgb="FFFF0000"/>
        <rFont val="Calibri"/>
        <family val="2"/>
        <scheme val="minor"/>
      </rPr>
      <t>Loss</t>
    </r>
  </si>
  <si>
    <t>£756.71 loss in 24/25. £961.13 profit in 25/26</t>
  </si>
  <si>
    <t>Opening/Closing Balance Summary</t>
  </si>
  <si>
    <t>Closing Balance</t>
  </si>
  <si>
    <t>Bank Statement Check</t>
  </si>
  <si>
    <t>Net Income on Current AC</t>
  </si>
  <si>
    <t>Less closing of social account</t>
  </si>
  <si>
    <t>Final Position</t>
  </si>
  <si>
    <t>Opening Balance - Community Account</t>
  </si>
  <si>
    <t>Opening Blance - Pledge Account</t>
  </si>
  <si>
    <t>Opening Balance - Social Account</t>
  </si>
  <si>
    <t>Total Opening Balance (all accounts)</t>
  </si>
  <si>
    <t>Closing Balance - Community Account</t>
  </si>
  <si>
    <t>Closing Balance - Pledge Account</t>
  </si>
  <si>
    <t>Closing Balance - Social Account</t>
  </si>
  <si>
    <t>Total Closing Balance (all accounts)</t>
  </si>
  <si>
    <t>Opening Balance (all accounts)</t>
  </si>
  <si>
    <t>+ Income</t>
  </si>
  <si>
    <t>- Expenditure</t>
  </si>
  <si>
    <t>Closing Balance (all accounts)</t>
  </si>
  <si>
    <t>2026-27 budget</t>
  </si>
  <si>
    <t xml:space="preserve"> </t>
  </si>
  <si>
    <t xml:space="preserve">Donations </t>
  </si>
  <si>
    <t>Annual Accounts Summary Dart Hockey Club 1st April 2025 to 31st March 2026</t>
  </si>
</sst>
</file>

<file path=xl/styles.xml><?xml version="1.0" encoding="utf-8"?>
<styleSheet xmlns="http://schemas.openxmlformats.org/spreadsheetml/2006/main">
  <numFmts count="1">
    <numFmt numFmtId="44" formatCode="_-&quot;£&quot;* #,##0.00_-;\-&quot;£&quot;* #,##0.00_-;_-&quot;£&quot;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0" fillId="2" borderId="0" xfId="0" applyFill="1"/>
    <xf numFmtId="0" fontId="0" fillId="2" borderId="0" xfId="1" applyNumberFormat="1" applyFont="1" applyFill="1"/>
    <xf numFmtId="0" fontId="0" fillId="0" borderId="0" xfId="1" applyNumberFormat="1" applyFont="1"/>
    <xf numFmtId="0" fontId="3" fillId="0" borderId="0" xfId="1" applyNumberFormat="1" applyFont="1"/>
    <xf numFmtId="0" fontId="1" fillId="0" borderId="0" xfId="1" applyNumberFormat="1" applyFont="1"/>
    <xf numFmtId="0" fontId="4" fillId="0" borderId="0" xfId="0" applyFont="1"/>
    <xf numFmtId="9" fontId="1" fillId="0" borderId="0" xfId="2" applyFont="1"/>
    <xf numFmtId="9" fontId="0" fillId="0" borderId="0" xfId="0" applyNumberFormat="1"/>
    <xf numFmtId="0" fontId="0" fillId="0" borderId="0" xfId="1" applyNumberFormat="1" applyFont="1" applyBorder="1"/>
    <xf numFmtId="0" fontId="0" fillId="0" borderId="1" xfId="1" applyNumberFormat="1" applyFont="1" applyBorder="1"/>
    <xf numFmtId="0" fontId="1" fillId="0" borderId="1" xfId="1" applyNumberFormat="1" applyFont="1" applyBorder="1"/>
    <xf numFmtId="0" fontId="0" fillId="0" borderId="1" xfId="0" applyBorder="1"/>
    <xf numFmtId="9" fontId="1" fillId="0" borderId="1" xfId="2" applyFont="1" applyBorder="1"/>
    <xf numFmtId="0" fontId="3" fillId="0" borderId="0" xfId="1" applyNumberFormat="1" applyFont="1" applyBorder="1"/>
    <xf numFmtId="0" fontId="3" fillId="0" borderId="2" xfId="1" applyNumberFormat="1" applyFont="1" applyBorder="1"/>
    <xf numFmtId="9" fontId="3" fillId="0" borderId="2" xfId="2" applyFont="1" applyBorder="1"/>
    <xf numFmtId="0" fontId="3" fillId="3" borderId="0" xfId="0" applyFont="1" applyFill="1"/>
    <xf numFmtId="0" fontId="0" fillId="3" borderId="0" xfId="0" applyFill="1"/>
    <xf numFmtId="0" fontId="0" fillId="3" borderId="0" xfId="1" applyNumberFormat="1" applyFont="1" applyFill="1"/>
    <xf numFmtId="0" fontId="3" fillId="3" borderId="0" xfId="1" applyNumberFormat="1" applyFont="1" applyFill="1"/>
    <xf numFmtId="0" fontId="1" fillId="3" borderId="0" xfId="1" applyNumberFormat="1" applyFont="1" applyFill="1"/>
    <xf numFmtId="0" fontId="0" fillId="0" borderId="0" xfId="1" applyNumberFormat="1" applyFont="1" applyFill="1"/>
    <xf numFmtId="0" fontId="3" fillId="0" borderId="0" xfId="1" applyNumberFormat="1" applyFont="1" applyFill="1"/>
    <xf numFmtId="0" fontId="1" fillId="0" borderId="0" xfId="1" applyNumberFormat="1" applyFont="1" applyFill="1"/>
    <xf numFmtId="0" fontId="1" fillId="0" borderId="0" xfId="1" applyNumberFormat="1" applyFont="1" applyBorder="1"/>
    <xf numFmtId="9" fontId="1" fillId="0" borderId="0" xfId="2" applyFont="1" applyBorder="1"/>
    <xf numFmtId="0" fontId="3" fillId="0" borderId="1" xfId="0" applyFont="1" applyBorder="1"/>
    <xf numFmtId="9" fontId="3" fillId="0" borderId="1" xfId="2" applyFont="1" applyBorder="1"/>
    <xf numFmtId="0" fontId="5" fillId="3" borderId="0" xfId="1" applyNumberFormat="1" applyFont="1" applyFill="1"/>
    <xf numFmtId="0" fontId="5" fillId="0" borderId="0" xfId="1" applyNumberFormat="1" applyFont="1" applyFill="1"/>
    <xf numFmtId="0" fontId="1" fillId="2" borderId="0" xfId="1" applyNumberFormat="1" applyFont="1" applyFill="1"/>
    <xf numFmtId="0" fontId="3" fillId="2" borderId="0" xfId="1" applyNumberFormat="1" applyFont="1" applyFill="1"/>
    <xf numFmtId="0" fontId="0" fillId="4" borderId="0" xfId="0" applyFill="1"/>
    <xf numFmtId="0" fontId="0" fillId="4" borderId="0" xfId="1" applyNumberFormat="1" applyFont="1" applyFill="1"/>
    <xf numFmtId="0" fontId="1" fillId="4" borderId="0" xfId="1" applyNumberFormat="1" applyFont="1" applyFill="1"/>
    <xf numFmtId="0" fontId="3" fillId="4" borderId="0" xfId="1" applyNumberFormat="1" applyFont="1" applyFill="1"/>
    <xf numFmtId="0" fontId="2" fillId="0" borderId="0" xfId="0" applyFont="1"/>
    <xf numFmtId="0" fontId="6" fillId="0" borderId="0" xfId="0" applyFont="1"/>
    <xf numFmtId="0" fontId="9" fillId="0" borderId="0" xfId="0" applyFont="1"/>
    <xf numFmtId="0" fontId="10" fillId="0" borderId="0" xfId="0" applyFont="1"/>
    <xf numFmtId="1" fontId="0" fillId="0" borderId="0" xfId="1" applyNumberFormat="1" applyFont="1"/>
    <xf numFmtId="1" fontId="0" fillId="0" borderId="0" xfId="0" applyNumberFormat="1"/>
    <xf numFmtId="1" fontId="0" fillId="0" borderId="1" xfId="1" applyNumberFormat="1" applyFont="1" applyBorder="1"/>
    <xf numFmtId="1" fontId="1" fillId="0" borderId="1" xfId="1" applyNumberFormat="1" applyFont="1" applyBorder="1"/>
    <xf numFmtId="0" fontId="9" fillId="0" borderId="1" xfId="1" applyNumberFormat="1" applyFont="1" applyBorder="1"/>
    <xf numFmtId="1" fontId="0" fillId="0" borderId="0" xfId="1" applyNumberFormat="1" applyFont="1" applyBorder="1"/>
    <xf numFmtId="1" fontId="3" fillId="0" borderId="0" xfId="1" applyNumberFormat="1" applyFont="1" applyBorder="1"/>
    <xf numFmtId="1" fontId="1" fillId="0" borderId="0" xfId="1" applyNumberFormat="1" applyFont="1"/>
    <xf numFmtId="1" fontId="9" fillId="0" borderId="0" xfId="0" applyNumberFormat="1" applyFont="1"/>
    <xf numFmtId="1" fontId="3" fillId="0" borderId="2" xfId="1" applyNumberFormat="1" applyFont="1" applyBorder="1"/>
    <xf numFmtId="1" fontId="3" fillId="0" borderId="0" xfId="1" applyNumberFormat="1" applyFont="1"/>
    <xf numFmtId="1" fontId="9" fillId="0" borderId="1" xfId="1" applyNumberFormat="1" applyFont="1" applyBorder="1"/>
    <xf numFmtId="1" fontId="1" fillId="0" borderId="0" xfId="1" applyNumberFormat="1" applyFont="1" applyBorder="1"/>
    <xf numFmtId="1" fontId="11" fillId="0" borderId="2" xfId="1" applyNumberFormat="1" applyFont="1" applyBorder="1"/>
    <xf numFmtId="1" fontId="11" fillId="0" borderId="0" xfId="0" applyNumberFormat="1" applyFont="1"/>
    <xf numFmtId="1" fontId="5" fillId="3" borderId="0" xfId="1" applyNumberFormat="1" applyFont="1" applyFill="1"/>
    <xf numFmtId="1" fontId="3" fillId="3" borderId="0" xfId="1" applyNumberFormat="1" applyFont="1" applyFill="1"/>
    <xf numFmtId="1" fontId="11" fillId="3" borderId="0" xfId="1" applyNumberFormat="1" applyFon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0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13" sqref="H13"/>
    </sheetView>
  </sheetViews>
  <sheetFormatPr defaultRowHeight="15"/>
  <cols>
    <col min="1" max="1" width="28.85546875" customWidth="1"/>
    <col min="2" max="2" width="2.42578125" customWidth="1"/>
    <col min="3" max="3" width="18.140625" customWidth="1"/>
    <col min="4" max="4" width="16.28515625" style="1" bestFit="1" customWidth="1"/>
    <col min="5" max="6" width="16.28515625" hidden="1" customWidth="1"/>
    <col min="7" max="7" width="82.7109375" hidden="1" customWidth="1"/>
    <col min="8" max="8" width="11.28515625" bestFit="1" customWidth="1"/>
  </cols>
  <sheetData>
    <row r="1" spans="1:8">
      <c r="A1" s="1" t="s">
        <v>78</v>
      </c>
    </row>
    <row r="2" spans="1:8">
      <c r="A2" s="1"/>
    </row>
    <row r="3" spans="1:8"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</row>
    <row r="4" spans="1:8" hidden="1">
      <c r="A4" s="2" t="s">
        <v>5</v>
      </c>
      <c r="B4" s="3">
        <v>33973.699999999997</v>
      </c>
      <c r="C4" s="4"/>
      <c r="D4" s="5"/>
      <c r="E4" s="6"/>
      <c r="F4" s="6"/>
    </row>
    <row r="5" spans="1:8">
      <c r="A5" s="7" t="s">
        <v>6</v>
      </c>
      <c r="C5" s="4"/>
      <c r="D5" s="5"/>
      <c r="E5" s="6"/>
      <c r="F5" s="6"/>
    </row>
    <row r="6" spans="1:8">
      <c r="A6" t="s">
        <v>7</v>
      </c>
      <c r="C6" s="4">
        <v>5745</v>
      </c>
      <c r="D6">
        <v>7509.47</v>
      </c>
      <c r="E6">
        <f>D6-C6</f>
        <v>1764.4700000000003</v>
      </c>
      <c r="F6" s="8">
        <f>E6/C6</f>
        <v>0.30713141862489124</v>
      </c>
      <c r="G6" s="9"/>
      <c r="H6" s="10"/>
    </row>
    <row r="7" spans="1:8">
      <c r="A7" t="s">
        <v>8</v>
      </c>
      <c r="C7" s="4">
        <v>3388</v>
      </c>
      <c r="D7">
        <v>2795.13</v>
      </c>
      <c r="E7">
        <f t="shared" ref="E7:E18" si="0">D7-C7</f>
        <v>-592.86999999999989</v>
      </c>
      <c r="F7" s="8">
        <f t="shared" ref="F7:F18" si="1">E7/C7</f>
        <v>-0.17499114521841791</v>
      </c>
      <c r="H7" s="10"/>
    </row>
    <row r="8" spans="1:8">
      <c r="A8" t="s">
        <v>9</v>
      </c>
      <c r="C8" s="4">
        <f>13715.56+193.31</f>
        <v>13908.869999999999</v>
      </c>
      <c r="D8">
        <v>16205.42</v>
      </c>
      <c r="E8">
        <f t="shared" si="0"/>
        <v>2296.5500000000011</v>
      </c>
      <c r="F8" s="8">
        <f t="shared" si="1"/>
        <v>0.16511406030827819</v>
      </c>
    </row>
    <row r="9" spans="1:8">
      <c r="A9" t="s">
        <v>10</v>
      </c>
      <c r="C9" s="11">
        <f>SUM(C6:C8)</f>
        <v>23041.87</v>
      </c>
      <c r="D9" s="12">
        <f>SUM(D6:D8)</f>
        <v>26510.02</v>
      </c>
      <c r="E9" s="13">
        <f t="shared" si="0"/>
        <v>3468.1500000000015</v>
      </c>
      <c r="F9" s="14">
        <f t="shared" si="1"/>
        <v>0.15051512746144308</v>
      </c>
      <c r="G9" s="9" t="s">
        <v>11</v>
      </c>
    </row>
    <row r="10" spans="1:8">
      <c r="C10" s="10"/>
      <c r="D10" s="15"/>
      <c r="F10" s="8"/>
      <c r="G10" s="9"/>
    </row>
    <row r="11" spans="1:8">
      <c r="A11" t="s">
        <v>12</v>
      </c>
      <c r="C11" s="4">
        <v>1680.14</v>
      </c>
      <c r="D11" s="6">
        <v>962</v>
      </c>
      <c r="E11">
        <f t="shared" si="0"/>
        <v>-718.1400000000001</v>
      </c>
      <c r="F11" s="8">
        <f t="shared" si="1"/>
        <v>-0.42742866665873086</v>
      </c>
      <c r="G11" t="s">
        <v>13</v>
      </c>
    </row>
    <row r="12" spans="1:8">
      <c r="A12" t="s">
        <v>14</v>
      </c>
      <c r="C12" s="4">
        <v>510.83</v>
      </c>
      <c r="D12" s="6">
        <v>182.15</v>
      </c>
      <c r="E12">
        <f t="shared" si="0"/>
        <v>-328.67999999999995</v>
      </c>
      <c r="F12" s="8">
        <f t="shared" si="1"/>
        <v>-0.64342344811385388</v>
      </c>
      <c r="G12" t="s">
        <v>15</v>
      </c>
    </row>
    <row r="13" spans="1:8">
      <c r="A13" t="s">
        <v>16</v>
      </c>
      <c r="C13" s="4"/>
      <c r="D13" s="6">
        <v>57.58</v>
      </c>
      <c r="E13">
        <f t="shared" si="0"/>
        <v>57.58</v>
      </c>
      <c r="F13" s="8" t="e">
        <f t="shared" si="1"/>
        <v>#DIV/0!</v>
      </c>
    </row>
    <row r="14" spans="1:8">
      <c r="A14" t="s">
        <v>17</v>
      </c>
      <c r="C14" s="4">
        <v>2161</v>
      </c>
      <c r="D14" s="6">
        <v>1132</v>
      </c>
      <c r="E14">
        <f t="shared" si="0"/>
        <v>-1029</v>
      </c>
      <c r="F14" s="8">
        <f t="shared" si="1"/>
        <v>-0.47616844053678853</v>
      </c>
    </row>
    <row r="15" spans="1:8">
      <c r="A15" t="s">
        <v>18</v>
      </c>
      <c r="C15" s="4">
        <f>2288.5+1911.68</f>
        <v>4200.18</v>
      </c>
      <c r="D15" s="6">
        <f>3984.49+100</f>
        <v>4084.49</v>
      </c>
      <c r="E15">
        <f t="shared" si="0"/>
        <v>-115.69000000000051</v>
      </c>
      <c r="F15" s="8">
        <f t="shared" si="1"/>
        <v>-2.7544057635625258E-2</v>
      </c>
      <c r="G15" t="s">
        <v>19</v>
      </c>
    </row>
    <row r="16" spans="1:8">
      <c r="A16" t="s">
        <v>20</v>
      </c>
      <c r="C16" s="4">
        <f>523.88+8.44</f>
        <v>532.32000000000005</v>
      </c>
      <c r="D16" s="6">
        <f>481.6+4.86</f>
        <v>486.46000000000004</v>
      </c>
      <c r="E16">
        <f t="shared" si="0"/>
        <v>-45.860000000000014</v>
      </c>
      <c r="F16" s="8">
        <f t="shared" si="1"/>
        <v>-8.6151187255786008E-2</v>
      </c>
      <c r="G16" t="s">
        <v>21</v>
      </c>
    </row>
    <row r="17" spans="1:7">
      <c r="A17" t="s">
        <v>77</v>
      </c>
      <c r="C17" s="4"/>
      <c r="D17" s="6">
        <v>515.91999999999996</v>
      </c>
      <c r="E17">
        <f t="shared" si="0"/>
        <v>515.91999999999996</v>
      </c>
      <c r="F17" s="8" t="e">
        <f t="shared" si="1"/>
        <v>#DIV/0!</v>
      </c>
      <c r="G17" t="s">
        <v>22</v>
      </c>
    </row>
    <row r="18" spans="1:7">
      <c r="A18" t="s">
        <v>23</v>
      </c>
      <c r="C18" s="4">
        <v>1500</v>
      </c>
      <c r="D18" s="6">
        <v>0</v>
      </c>
      <c r="E18">
        <f t="shared" si="0"/>
        <v>-1500</v>
      </c>
      <c r="F18" s="8">
        <f t="shared" si="1"/>
        <v>-1</v>
      </c>
    </row>
    <row r="19" spans="1:7">
      <c r="C19" s="4"/>
      <c r="D19" s="5"/>
      <c r="E19" s="6"/>
      <c r="F19" s="6"/>
    </row>
    <row r="20" spans="1:7" ht="15.75" thickBot="1">
      <c r="A20" s="1" t="s">
        <v>24</v>
      </c>
      <c r="C20" s="16">
        <f>SUM(C9:C19)</f>
        <v>33626.339999999997</v>
      </c>
      <c r="D20" s="16">
        <f>SUM(D9:D19)</f>
        <v>33930.620000000003</v>
      </c>
      <c r="E20" s="16">
        <f t="shared" ref="E20" si="2">D20-C20</f>
        <v>304.28000000000611</v>
      </c>
      <c r="F20" s="17">
        <f t="shared" ref="F20" si="3">E20/C20</f>
        <v>9.0488587220615199E-3</v>
      </c>
      <c r="G20" t="s">
        <v>25</v>
      </c>
    </row>
    <row r="21" spans="1:7">
      <c r="C21" s="6"/>
      <c r="D21" s="5"/>
      <c r="E21" s="6"/>
      <c r="F21" s="6"/>
    </row>
    <row r="22" spans="1:7" hidden="1">
      <c r="A22" s="18" t="s">
        <v>26</v>
      </c>
      <c r="B22" s="19"/>
      <c r="C22" s="20"/>
      <c r="D22" s="21"/>
      <c r="E22" s="22"/>
      <c r="F22" s="22"/>
    </row>
    <row r="23" spans="1:7">
      <c r="C23" s="23"/>
      <c r="D23" s="24"/>
      <c r="E23" s="25"/>
      <c r="F23" s="25"/>
    </row>
    <row r="24" spans="1:7">
      <c r="A24" s="7" t="s">
        <v>27</v>
      </c>
      <c r="B24" s="1"/>
      <c r="C24" s="4"/>
      <c r="D24" s="5"/>
      <c r="E24" s="6"/>
      <c r="F24" s="6"/>
    </row>
    <row r="25" spans="1:7">
      <c r="A25" t="s">
        <v>28</v>
      </c>
      <c r="C25" s="4">
        <v>1280</v>
      </c>
      <c r="D25" s="6">
        <f>270+260</f>
        <v>530</v>
      </c>
      <c r="E25">
        <f t="shared" ref="E25:E43" si="4">D25-C25</f>
        <v>-750</v>
      </c>
      <c r="F25" s="8">
        <f t="shared" ref="F25:F43" si="5">E25/C25</f>
        <v>-0.5859375</v>
      </c>
      <c r="G25" t="s">
        <v>29</v>
      </c>
    </row>
    <row r="26" spans="1:7">
      <c r="C26" s="4"/>
      <c r="D26" s="6"/>
      <c r="F26" s="8"/>
    </row>
    <row r="27" spans="1:7">
      <c r="A27" t="s">
        <v>30</v>
      </c>
      <c r="C27" s="6">
        <v>11672.94</v>
      </c>
      <c r="D27" s="6">
        <v>9237.5</v>
      </c>
      <c r="E27">
        <f t="shared" si="4"/>
        <v>-2435.4400000000005</v>
      </c>
      <c r="F27" s="8">
        <f t="shared" si="5"/>
        <v>-0.20863981139284538</v>
      </c>
      <c r="G27" t="s">
        <v>31</v>
      </c>
    </row>
    <row r="28" spans="1:7">
      <c r="A28" t="s">
        <v>32</v>
      </c>
      <c r="C28" s="6">
        <v>4573.12</v>
      </c>
      <c r="D28" s="6">
        <v>6734.8</v>
      </c>
      <c r="E28">
        <f t="shared" si="4"/>
        <v>2161.6800000000003</v>
      </c>
      <c r="F28" s="8">
        <f t="shared" si="5"/>
        <v>0.47269260373661753</v>
      </c>
      <c r="G28" t="s">
        <v>33</v>
      </c>
    </row>
    <row r="29" spans="1:7">
      <c r="A29" t="s">
        <v>34</v>
      </c>
      <c r="C29" s="12">
        <f>SUM(C27:C28)</f>
        <v>16246.060000000001</v>
      </c>
      <c r="D29" s="12">
        <f>SUM(D27:D28)</f>
        <v>15972.3</v>
      </c>
      <c r="E29" s="13">
        <f t="shared" si="4"/>
        <v>-273.76000000000204</v>
      </c>
      <c r="F29" s="14">
        <f t="shared" si="5"/>
        <v>-1.6850854914976433E-2</v>
      </c>
    </row>
    <row r="30" spans="1:7">
      <c r="C30" s="26"/>
      <c r="D30" s="26"/>
      <c r="F30" s="27"/>
    </row>
    <row r="31" spans="1:7">
      <c r="A31" t="s">
        <v>35</v>
      </c>
      <c r="C31" s="4">
        <v>6500</v>
      </c>
      <c r="D31" s="6">
        <v>3950</v>
      </c>
      <c r="E31">
        <f t="shared" si="4"/>
        <v>-2550</v>
      </c>
      <c r="F31" s="8">
        <f t="shared" si="5"/>
        <v>-0.3923076923076923</v>
      </c>
      <c r="G31" t="s">
        <v>31</v>
      </c>
    </row>
    <row r="32" spans="1:7">
      <c r="A32" t="s">
        <v>36</v>
      </c>
      <c r="C32" s="4">
        <v>635</v>
      </c>
      <c r="D32" s="6">
        <v>755</v>
      </c>
      <c r="E32">
        <f t="shared" si="4"/>
        <v>120</v>
      </c>
      <c r="F32" s="8">
        <f t="shared" si="5"/>
        <v>0.1889763779527559</v>
      </c>
      <c r="G32" t="s">
        <v>31</v>
      </c>
    </row>
    <row r="33" spans="1:7">
      <c r="A33" t="s">
        <v>37</v>
      </c>
      <c r="C33" s="4">
        <v>2008.77</v>
      </c>
      <c r="D33" s="6">
        <v>3251.5</v>
      </c>
      <c r="E33">
        <f t="shared" si="4"/>
        <v>1242.73</v>
      </c>
      <c r="F33" s="8">
        <f t="shared" si="5"/>
        <v>0.61865221005889182</v>
      </c>
      <c r="G33" t="s">
        <v>38</v>
      </c>
    </row>
    <row r="34" spans="1:7">
      <c r="A34" t="s">
        <v>39</v>
      </c>
      <c r="C34" s="4">
        <v>848.51</v>
      </c>
      <c r="D34" s="6">
        <v>392</v>
      </c>
      <c r="E34">
        <f t="shared" si="4"/>
        <v>-456.51</v>
      </c>
      <c r="F34" s="8">
        <f t="shared" si="5"/>
        <v>-0.53801369459405313</v>
      </c>
    </row>
    <row r="35" spans="1:7">
      <c r="A35" t="s">
        <v>40</v>
      </c>
      <c r="C35" s="4">
        <v>0</v>
      </c>
      <c r="D35" s="6">
        <v>40</v>
      </c>
      <c r="E35">
        <f t="shared" si="4"/>
        <v>40</v>
      </c>
      <c r="F35" s="8" t="e">
        <f t="shared" si="5"/>
        <v>#DIV/0!</v>
      </c>
      <c r="G35" t="s">
        <v>41</v>
      </c>
    </row>
    <row r="36" spans="1:7">
      <c r="A36" t="s">
        <v>42</v>
      </c>
      <c r="C36" s="4">
        <v>194.5</v>
      </c>
      <c r="D36" s="6">
        <v>98.4</v>
      </c>
      <c r="E36">
        <f t="shared" si="4"/>
        <v>-96.1</v>
      </c>
      <c r="F36" s="8">
        <f t="shared" si="5"/>
        <v>-0.49408740359897169</v>
      </c>
    </row>
    <row r="37" spans="1:7">
      <c r="A37" t="s">
        <v>43</v>
      </c>
      <c r="C37" s="4">
        <v>0</v>
      </c>
      <c r="D37" s="6">
        <f>3798.26-260</f>
        <v>3538.26</v>
      </c>
      <c r="E37">
        <f t="shared" si="4"/>
        <v>3538.26</v>
      </c>
      <c r="F37" s="8" t="e">
        <f t="shared" si="5"/>
        <v>#DIV/0!</v>
      </c>
      <c r="G37" t="s">
        <v>44</v>
      </c>
    </row>
    <row r="38" spans="1:7">
      <c r="A38" t="s">
        <v>45</v>
      </c>
      <c r="C38" s="4">
        <v>223.93</v>
      </c>
      <c r="D38" s="6">
        <v>383.88000000000005</v>
      </c>
      <c r="E38">
        <f t="shared" si="4"/>
        <v>159.95000000000005</v>
      </c>
      <c r="F38" s="8">
        <f t="shared" si="5"/>
        <v>0.71428571428571441</v>
      </c>
    </row>
    <row r="39" spans="1:7">
      <c r="A39" t="s">
        <v>46</v>
      </c>
      <c r="C39" s="4">
        <v>4.25</v>
      </c>
      <c r="D39" s="6">
        <v>69.44</v>
      </c>
      <c r="E39">
        <f t="shared" si="4"/>
        <v>65.19</v>
      </c>
      <c r="F39" s="8">
        <f t="shared" si="5"/>
        <v>15.338823529411764</v>
      </c>
      <c r="G39" t="s">
        <v>47</v>
      </c>
    </row>
    <row r="40" spans="1:7">
      <c r="A40" t="s">
        <v>48</v>
      </c>
      <c r="C40" s="4">
        <v>3092.22</v>
      </c>
      <c r="D40" s="6">
        <v>2756.88</v>
      </c>
      <c r="E40">
        <f t="shared" si="4"/>
        <v>-335.33999999999969</v>
      </c>
      <c r="F40" s="8">
        <f t="shared" si="5"/>
        <v>-0.10844635892659633</v>
      </c>
      <c r="G40" t="s">
        <v>49</v>
      </c>
    </row>
    <row r="41" spans="1:7">
      <c r="A41" t="s">
        <v>50</v>
      </c>
      <c r="C41" s="4">
        <v>602.29999999999995</v>
      </c>
      <c r="D41" s="6">
        <v>355.5</v>
      </c>
      <c r="E41">
        <f t="shared" si="4"/>
        <v>-246.79999999999995</v>
      </c>
      <c r="F41" s="8">
        <f t="shared" si="5"/>
        <v>-0.40976257678897554</v>
      </c>
      <c r="G41" t="s">
        <v>13</v>
      </c>
    </row>
    <row r="42" spans="1:7">
      <c r="A42" t="s">
        <v>51</v>
      </c>
      <c r="C42" s="4">
        <v>2499.91</v>
      </c>
      <c r="D42" s="6">
        <v>746.96999999999991</v>
      </c>
      <c r="E42">
        <f t="shared" si="4"/>
        <v>-1752.94</v>
      </c>
      <c r="F42" s="8">
        <f t="shared" si="5"/>
        <v>-0.70120124324475686</v>
      </c>
    </row>
    <row r="43" spans="1:7">
      <c r="A43" t="s">
        <v>20</v>
      </c>
      <c r="C43" s="4">
        <v>247.6</v>
      </c>
      <c r="D43" s="6">
        <v>124.5</v>
      </c>
      <c r="E43">
        <f t="shared" si="4"/>
        <v>-123.1</v>
      </c>
      <c r="F43" s="8">
        <f t="shared" si="5"/>
        <v>-0.49717285945072698</v>
      </c>
    </row>
    <row r="44" spans="1:7">
      <c r="C44" s="4"/>
      <c r="D44" s="6"/>
      <c r="E44" s="6"/>
      <c r="F44" s="6"/>
    </row>
    <row r="45" spans="1:7" ht="15.75" thickBot="1">
      <c r="A45" s="1" t="s">
        <v>52</v>
      </c>
      <c r="C45" s="16">
        <f>SUM(C29:C43)+C25</f>
        <v>34383.049999999996</v>
      </c>
      <c r="D45" s="16">
        <f>SUM(D29:D43)+D25</f>
        <v>32964.630000000005</v>
      </c>
      <c r="E45" s="28">
        <f t="shared" ref="E45" si="6">D45-C45</f>
        <v>-1418.419999999991</v>
      </c>
      <c r="F45" s="29">
        <f t="shared" ref="F45" si="7">E45/C45</f>
        <v>-4.1253466460944889E-2</v>
      </c>
      <c r="G45" t="s">
        <v>53</v>
      </c>
    </row>
    <row r="46" spans="1:7">
      <c r="C46" s="4"/>
      <c r="D46" s="5"/>
      <c r="E46" s="6"/>
      <c r="F46" s="6"/>
    </row>
    <row r="47" spans="1:7" hidden="1">
      <c r="A47" s="18" t="s">
        <v>54</v>
      </c>
      <c r="B47" s="19"/>
      <c r="C47" s="20"/>
      <c r="D47" s="21">
        <v>32963.43</v>
      </c>
      <c r="E47" s="22"/>
      <c r="F47" s="22"/>
    </row>
    <row r="48" spans="1:7" s="1" customFormat="1">
      <c r="A48" s="18" t="s">
        <v>55</v>
      </c>
      <c r="B48" s="18"/>
      <c r="C48" s="30">
        <f>C20-C45</f>
        <v>-756.70999999999913</v>
      </c>
      <c r="D48" s="21">
        <f>D20-D45</f>
        <v>965.98999999999796</v>
      </c>
      <c r="E48" s="21"/>
      <c r="F48" s="21"/>
      <c r="G48" t="s">
        <v>56</v>
      </c>
    </row>
    <row r="49" spans="1:7" s="1" customFormat="1">
      <c r="C49" s="31"/>
      <c r="D49" s="24"/>
      <c r="E49" s="24"/>
      <c r="F49" s="24"/>
      <c r="G49"/>
    </row>
    <row r="50" spans="1:7" s="1" customFormat="1">
      <c r="A50" s="7" t="s">
        <v>57</v>
      </c>
      <c r="C50" s="31"/>
      <c r="D50" s="24"/>
      <c r="E50" s="24"/>
      <c r="F50" s="24"/>
      <c r="G50"/>
    </row>
    <row r="51" spans="1:7">
      <c r="C51" s="4"/>
      <c r="D51" s="5"/>
      <c r="E51" s="6"/>
      <c r="F51" s="6"/>
    </row>
    <row r="52" spans="1:7" hidden="1">
      <c r="A52" s="2" t="s">
        <v>58</v>
      </c>
      <c r="B52" s="2"/>
      <c r="C52" s="3"/>
      <c r="D52" s="3"/>
      <c r="E52" s="32"/>
      <c r="F52" s="32"/>
    </row>
    <row r="53" spans="1:7" hidden="1">
      <c r="A53" s="2" t="s">
        <v>59</v>
      </c>
      <c r="B53" s="2"/>
      <c r="C53" s="3"/>
      <c r="D53" s="33"/>
      <c r="E53" s="32"/>
      <c r="F53" s="32"/>
    </row>
    <row r="54" spans="1:7" hidden="1">
      <c r="A54" s="2"/>
      <c r="B54" s="2"/>
      <c r="C54" s="3"/>
      <c r="D54" s="33"/>
      <c r="E54" s="32"/>
      <c r="F54" s="32"/>
    </row>
    <row r="55" spans="1:7" hidden="1">
      <c r="C55" s="4"/>
      <c r="D55" s="5"/>
      <c r="E55" s="6"/>
      <c r="F55" s="6"/>
    </row>
    <row r="56" spans="1:7" hidden="1">
      <c r="A56" s="34" t="s">
        <v>60</v>
      </c>
      <c r="B56" s="34"/>
      <c r="C56" s="35"/>
      <c r="D56" s="35">
        <v>6306.0299999999988</v>
      </c>
      <c r="E56" s="36"/>
      <c r="F56" s="36"/>
    </row>
    <row r="57" spans="1:7" hidden="1">
      <c r="C57" s="4"/>
      <c r="D57" s="5"/>
      <c r="E57" s="6"/>
      <c r="F57" s="6"/>
    </row>
    <row r="58" spans="1:7" hidden="1">
      <c r="A58" t="s">
        <v>61</v>
      </c>
      <c r="C58" s="4"/>
      <c r="D58" s="6">
        <v>-5347.7</v>
      </c>
      <c r="E58" s="6"/>
      <c r="F58" s="6"/>
    </row>
    <row r="59" spans="1:7" hidden="1">
      <c r="C59" s="4"/>
      <c r="D59" s="5"/>
      <c r="E59" s="6"/>
      <c r="F59" s="6"/>
    </row>
    <row r="60" spans="1:7" hidden="1">
      <c r="A60" s="34" t="s">
        <v>62</v>
      </c>
      <c r="B60" s="34"/>
      <c r="C60" s="35"/>
      <c r="D60" s="37">
        <v>958.32999999999902</v>
      </c>
      <c r="E60" s="36"/>
      <c r="F60" s="36"/>
    </row>
    <row r="61" spans="1:7">
      <c r="A61" t="s">
        <v>63</v>
      </c>
      <c r="C61">
        <v>34968.35</v>
      </c>
      <c r="D61">
        <f>C66</f>
        <v>33973.699999999997</v>
      </c>
    </row>
    <row r="62" spans="1:7">
      <c r="A62" t="s">
        <v>64</v>
      </c>
      <c r="C62">
        <v>665.59</v>
      </c>
      <c r="D62">
        <f>C67</f>
        <v>674.03</v>
      </c>
    </row>
    <row r="63" spans="1:7">
      <c r="A63" t="s">
        <v>65</v>
      </c>
      <c r="C63">
        <v>5112.95</v>
      </c>
      <c r="D63">
        <f>C68</f>
        <v>5342.45</v>
      </c>
      <c r="G63" s="38"/>
    </row>
    <row r="64" spans="1:7">
      <c r="A64" t="s">
        <v>66</v>
      </c>
      <c r="C64" s="13">
        <f>SUM(C61:C63)</f>
        <v>40746.889999999992</v>
      </c>
      <c r="D64" s="13">
        <f>SUM(D61:D63)</f>
        <v>39990.179999999993</v>
      </c>
    </row>
    <row r="66" spans="1:7">
      <c r="A66" t="s">
        <v>67</v>
      </c>
      <c r="C66">
        <v>33973.699999999997</v>
      </c>
      <c r="D66">
        <v>40278.089999999997</v>
      </c>
    </row>
    <row r="67" spans="1:7">
      <c r="A67" t="s">
        <v>68</v>
      </c>
      <c r="C67">
        <v>674.03</v>
      </c>
      <c r="D67">
        <f>677.88+0.2</f>
        <v>678.08</v>
      </c>
    </row>
    <row r="68" spans="1:7">
      <c r="A68" t="s">
        <v>69</v>
      </c>
      <c r="C68">
        <v>5342.45</v>
      </c>
      <c r="D68">
        <v>0</v>
      </c>
    </row>
    <row r="69" spans="1:7">
      <c r="A69" t="s">
        <v>70</v>
      </c>
      <c r="C69" s="28">
        <f>SUM(C66:C68)</f>
        <v>39990.179999999993</v>
      </c>
      <c r="D69" s="28">
        <f>SUM(D66:D68)</f>
        <v>40956.17</v>
      </c>
    </row>
    <row r="70" spans="1:7">
      <c r="C70" s="1"/>
    </row>
    <row r="71" spans="1:7">
      <c r="A71" s="1" t="s">
        <v>71</v>
      </c>
      <c r="C71" s="1">
        <f>C64</f>
        <v>40746.889999999992</v>
      </c>
      <c r="D71" s="1">
        <f>D64</f>
        <v>39990.179999999993</v>
      </c>
    </row>
    <row r="72" spans="1:7">
      <c r="A72" t="s">
        <v>72</v>
      </c>
      <c r="C72">
        <f>C20</f>
        <v>33626.339999999997</v>
      </c>
      <c r="D72">
        <f>D20</f>
        <v>33930.620000000003</v>
      </c>
    </row>
    <row r="73" spans="1:7">
      <c r="A73" t="s">
        <v>73</v>
      </c>
      <c r="C73">
        <f>C45</f>
        <v>34383.049999999996</v>
      </c>
      <c r="D73">
        <f>D45</f>
        <v>32964.630000000005</v>
      </c>
    </row>
    <row r="74" spans="1:7">
      <c r="A74" s="1" t="s">
        <v>74</v>
      </c>
      <c r="C74" s="28">
        <f>C71+C72-C73</f>
        <v>39990.179999999986</v>
      </c>
      <c r="D74" s="28">
        <f>D71+D72-D73</f>
        <v>40956.169999999984</v>
      </c>
    </row>
    <row r="77" spans="1:7" s="1" customFormat="1">
      <c r="A77" s="18" t="s">
        <v>55</v>
      </c>
      <c r="B77" s="18"/>
      <c r="C77" s="30">
        <f>C69-C64</f>
        <v>-756.70999999999913</v>
      </c>
      <c r="D77" s="21">
        <f>D69-D64</f>
        <v>965.99000000000524</v>
      </c>
      <c r="E77" s="21"/>
      <c r="F77" s="21"/>
      <c r="G77"/>
    </row>
    <row r="80" spans="1:7">
      <c r="A80" s="3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8"/>
  <sheetViews>
    <sheetView workbookViewId="0">
      <selection activeCell="F5" sqref="F5"/>
    </sheetView>
  </sheetViews>
  <sheetFormatPr defaultRowHeight="15"/>
  <cols>
    <col min="1" max="1" width="26.28515625" customWidth="1"/>
    <col min="2" max="2" width="18.140625" customWidth="1"/>
    <col min="3" max="3" width="16.28515625" style="1" bestFit="1" customWidth="1"/>
    <col min="4" max="4" width="14.7109375" style="40" bestFit="1" customWidth="1"/>
  </cols>
  <sheetData>
    <row r="1" spans="1:5">
      <c r="A1" s="1" t="s">
        <v>75</v>
      </c>
    </row>
    <row r="2" spans="1:5">
      <c r="B2" s="1" t="s">
        <v>0</v>
      </c>
      <c r="C2" s="1" t="s">
        <v>1</v>
      </c>
      <c r="D2" s="41" t="s">
        <v>75</v>
      </c>
    </row>
    <row r="3" spans="1:5">
      <c r="B3" s="4"/>
      <c r="C3" s="5"/>
    </row>
    <row r="4" spans="1:5">
      <c r="A4" s="1" t="s">
        <v>6</v>
      </c>
      <c r="B4" s="4"/>
      <c r="C4" s="5"/>
    </row>
    <row r="5" spans="1:5">
      <c r="A5" t="s">
        <v>7</v>
      </c>
      <c r="B5" s="42">
        <v>5745</v>
      </c>
      <c r="C5" s="43">
        <v>7509.47</v>
      </c>
      <c r="D5" s="40">
        <v>8000</v>
      </c>
    </row>
    <row r="6" spans="1:5">
      <c r="A6" t="s">
        <v>8</v>
      </c>
      <c r="B6" s="42">
        <v>3388</v>
      </c>
      <c r="C6" s="43">
        <v>2795.13</v>
      </c>
      <c r="D6" s="40">
        <v>2500</v>
      </c>
    </row>
    <row r="7" spans="1:5">
      <c r="A7" t="s">
        <v>9</v>
      </c>
      <c r="B7" s="42">
        <f>13715.56+193.31</f>
        <v>13908.869999999999</v>
      </c>
      <c r="C7" s="43">
        <v>16205.42</v>
      </c>
      <c r="D7" s="40">
        <v>16205</v>
      </c>
    </row>
    <row r="8" spans="1:5">
      <c r="A8" t="s">
        <v>10</v>
      </c>
      <c r="B8" s="44">
        <f>SUM(B5:B7)</f>
        <v>23041.87</v>
      </c>
      <c r="C8" s="45">
        <f>SUM(C5:C7)</f>
        <v>26510.02</v>
      </c>
      <c r="D8" s="46">
        <f>SUM(D5:D7)</f>
        <v>26705</v>
      </c>
    </row>
    <row r="9" spans="1:5">
      <c r="B9" s="47"/>
      <c r="C9" s="48"/>
    </row>
    <row r="10" spans="1:5">
      <c r="A10" t="s">
        <v>12</v>
      </c>
      <c r="B10" s="42">
        <v>1680.14</v>
      </c>
      <c r="C10" s="49">
        <v>962</v>
      </c>
      <c r="D10" s="50">
        <f>(D5/C5)*C10</f>
        <v>1024.8393029068629</v>
      </c>
    </row>
    <row r="11" spans="1:5">
      <c r="A11" t="s">
        <v>14</v>
      </c>
      <c r="B11" s="42">
        <v>510.83</v>
      </c>
      <c r="C11" s="49">
        <v>182.15</v>
      </c>
      <c r="D11" s="40">
        <v>185</v>
      </c>
      <c r="E11" t="s">
        <v>76</v>
      </c>
    </row>
    <row r="12" spans="1:5">
      <c r="A12" t="s">
        <v>16</v>
      </c>
      <c r="B12" s="42"/>
      <c r="C12" s="49">
        <v>57.58</v>
      </c>
      <c r="D12" s="40">
        <v>55</v>
      </c>
    </row>
    <row r="13" spans="1:5">
      <c r="A13" t="s">
        <v>17</v>
      </c>
      <c r="B13" s="42">
        <v>2161</v>
      </c>
      <c r="C13" s="49">
        <v>1132</v>
      </c>
      <c r="D13" s="40">
        <v>1100</v>
      </c>
    </row>
    <row r="14" spans="1:5">
      <c r="A14" t="s">
        <v>18</v>
      </c>
      <c r="B14" s="42">
        <f>2288.5+1911.68</f>
        <v>4200.18</v>
      </c>
      <c r="C14" s="49">
        <f>3984.49+100</f>
        <v>4084.49</v>
      </c>
      <c r="D14" s="40">
        <v>4100</v>
      </c>
    </row>
    <row r="15" spans="1:5">
      <c r="A15" t="s">
        <v>20</v>
      </c>
      <c r="B15" s="42">
        <f>523.88+8.44</f>
        <v>532.32000000000005</v>
      </c>
      <c r="C15" s="49">
        <f>481.6+4.86</f>
        <v>486.46000000000004</v>
      </c>
      <c r="D15" s="40">
        <v>500</v>
      </c>
    </row>
    <row r="16" spans="1:5">
      <c r="A16" t="s">
        <v>77</v>
      </c>
      <c r="B16" s="42"/>
      <c r="C16" s="49">
        <v>515.91999999999996</v>
      </c>
      <c r="D16" s="40">
        <v>1000</v>
      </c>
    </row>
    <row r="17" spans="1:4">
      <c r="A17" t="s">
        <v>23</v>
      </c>
      <c r="B17" s="42">
        <v>1500</v>
      </c>
      <c r="C17" s="49">
        <v>0</v>
      </c>
    </row>
    <row r="18" spans="1:4">
      <c r="B18" s="4"/>
      <c r="C18" s="5"/>
    </row>
    <row r="19" spans="1:4" ht="15.75" thickBot="1">
      <c r="A19" s="1" t="s">
        <v>24</v>
      </c>
      <c r="B19" s="51">
        <f>SUM(B8:B18)</f>
        <v>33626.339999999997</v>
      </c>
      <c r="C19" s="51">
        <f>SUM(C8:C18)</f>
        <v>33930.620000000003</v>
      </c>
      <c r="D19" s="51">
        <f>SUM(D8:D18)</f>
        <v>34669.839302906861</v>
      </c>
    </row>
    <row r="20" spans="1:4">
      <c r="B20" s="6"/>
      <c r="C20" s="5"/>
    </row>
    <row r="21" spans="1:4" hidden="1">
      <c r="A21" s="18" t="s">
        <v>26</v>
      </c>
      <c r="B21" s="20"/>
      <c r="C21" s="21"/>
    </row>
    <row r="22" spans="1:4" hidden="1">
      <c r="A22" s="19"/>
      <c r="B22" s="20"/>
      <c r="C22" s="21"/>
    </row>
    <row r="23" spans="1:4">
      <c r="A23" s="1" t="s">
        <v>27</v>
      </c>
      <c r="B23" s="42"/>
      <c r="C23" s="52"/>
    </row>
    <row r="24" spans="1:4">
      <c r="A24" t="s">
        <v>28</v>
      </c>
      <c r="B24" s="42">
        <v>1280</v>
      </c>
      <c r="C24" s="49">
        <f>270+260</f>
        <v>530</v>
      </c>
      <c r="D24" s="50">
        <f>AVERAGE(B24,C24)</f>
        <v>905</v>
      </c>
    </row>
    <row r="25" spans="1:4">
      <c r="B25" s="42"/>
      <c r="C25" s="49"/>
    </row>
    <row r="26" spans="1:4">
      <c r="A26" t="s">
        <v>30</v>
      </c>
      <c r="B26" s="49">
        <v>11672.94</v>
      </c>
      <c r="C26" s="49">
        <v>9237.5</v>
      </c>
      <c r="D26" s="50">
        <f>C26*1.03</f>
        <v>9514.625</v>
      </c>
    </row>
    <row r="27" spans="1:4">
      <c r="A27" t="s">
        <v>32</v>
      </c>
      <c r="B27" s="49">
        <v>4573.12</v>
      </c>
      <c r="C27" s="49">
        <v>6734.8</v>
      </c>
      <c r="D27" s="50">
        <f>C27*1.03</f>
        <v>6936.8440000000001</v>
      </c>
    </row>
    <row r="28" spans="1:4">
      <c r="A28" t="s">
        <v>34</v>
      </c>
      <c r="B28" s="45">
        <f>SUM(B26:B27)</f>
        <v>16246.060000000001</v>
      </c>
      <c r="C28" s="45">
        <f>SUM(C26:C27)</f>
        <v>15972.3</v>
      </c>
      <c r="D28" s="53">
        <f>SUM(D26:D27)</f>
        <v>16451.469000000001</v>
      </c>
    </row>
    <row r="29" spans="1:4">
      <c r="B29" s="54"/>
      <c r="C29" s="54"/>
      <c r="D29" s="50"/>
    </row>
    <row r="30" spans="1:4">
      <c r="A30" t="s">
        <v>35</v>
      </c>
      <c r="B30" s="42">
        <v>6500</v>
      </c>
      <c r="C30" s="49">
        <v>3950</v>
      </c>
      <c r="D30" s="50">
        <f>C30*1.03</f>
        <v>4068.5</v>
      </c>
    </row>
    <row r="31" spans="1:4">
      <c r="A31" t="s">
        <v>36</v>
      </c>
      <c r="B31" s="42">
        <v>635</v>
      </c>
      <c r="C31" s="49">
        <v>755</v>
      </c>
      <c r="D31" s="50">
        <f t="shared" ref="D31:D42" si="0">C31*1.03</f>
        <v>777.65</v>
      </c>
    </row>
    <row r="32" spans="1:4">
      <c r="A32" t="s">
        <v>37</v>
      </c>
      <c r="B32" s="42">
        <v>2008.77</v>
      </c>
      <c r="C32" s="49">
        <v>3251.5</v>
      </c>
      <c r="D32" s="50">
        <f t="shared" si="0"/>
        <v>3349.0450000000001</v>
      </c>
    </row>
    <row r="33" spans="1:4">
      <c r="A33" t="s">
        <v>39</v>
      </c>
      <c r="B33" s="42">
        <v>848.51</v>
      </c>
      <c r="C33" s="49">
        <v>392</v>
      </c>
      <c r="D33" s="50">
        <f t="shared" si="0"/>
        <v>403.76</v>
      </c>
    </row>
    <row r="34" spans="1:4">
      <c r="A34" t="s">
        <v>40</v>
      </c>
      <c r="B34" s="42">
        <v>0</v>
      </c>
      <c r="C34" s="49">
        <v>40</v>
      </c>
      <c r="D34" s="50">
        <f>20*(7*4)</f>
        <v>560</v>
      </c>
    </row>
    <row r="35" spans="1:4">
      <c r="A35" t="s">
        <v>42</v>
      </c>
      <c r="B35" s="42">
        <v>194.5</v>
      </c>
      <c r="C35" s="49">
        <v>98.4</v>
      </c>
      <c r="D35" s="50">
        <f t="shared" si="0"/>
        <v>101.352</v>
      </c>
    </row>
    <row r="36" spans="1:4">
      <c r="A36" t="s">
        <v>43</v>
      </c>
      <c r="B36" s="42">
        <v>0</v>
      </c>
      <c r="C36" s="49">
        <f>3798.26-260</f>
        <v>3538.26</v>
      </c>
      <c r="D36" s="50">
        <v>2000</v>
      </c>
    </row>
    <row r="37" spans="1:4">
      <c r="A37" t="s">
        <v>45</v>
      </c>
      <c r="B37" s="42">
        <v>223.93</v>
      </c>
      <c r="C37" s="49">
        <v>383.88000000000005</v>
      </c>
      <c r="D37" s="50">
        <f t="shared" si="0"/>
        <v>395.39640000000009</v>
      </c>
    </row>
    <row r="38" spans="1:4">
      <c r="A38" t="s">
        <v>46</v>
      </c>
      <c r="B38" s="42">
        <v>4.25</v>
      </c>
      <c r="C38" s="49">
        <v>69.44</v>
      </c>
      <c r="D38" s="50">
        <f t="shared" si="0"/>
        <v>71.523200000000003</v>
      </c>
    </row>
    <row r="39" spans="1:4">
      <c r="A39" t="s">
        <v>48</v>
      </c>
      <c r="B39" s="42">
        <v>3092.22</v>
      </c>
      <c r="C39" s="49">
        <v>2756.88</v>
      </c>
      <c r="D39" s="50">
        <f t="shared" si="0"/>
        <v>2839.5864000000001</v>
      </c>
    </row>
    <row r="40" spans="1:4">
      <c r="A40" t="s">
        <v>50</v>
      </c>
      <c r="B40" s="42">
        <v>602.29999999999995</v>
      </c>
      <c r="C40" s="49">
        <v>355.5</v>
      </c>
      <c r="D40" s="50">
        <f t="shared" si="0"/>
        <v>366.16500000000002</v>
      </c>
    </row>
    <row r="41" spans="1:4">
      <c r="A41" t="s">
        <v>51</v>
      </c>
      <c r="B41" s="42">
        <v>2499.91</v>
      </c>
      <c r="C41" s="49">
        <v>746.96999999999991</v>
      </c>
      <c r="D41" s="50">
        <f t="shared" si="0"/>
        <v>769.37909999999988</v>
      </c>
    </row>
    <row r="42" spans="1:4">
      <c r="A42" t="s">
        <v>20</v>
      </c>
      <c r="B42" s="42">
        <v>247.6</v>
      </c>
      <c r="C42" s="49">
        <v>124.5</v>
      </c>
      <c r="D42" s="50">
        <f t="shared" si="0"/>
        <v>128.23500000000001</v>
      </c>
    </row>
    <row r="43" spans="1:4">
      <c r="B43" s="42"/>
      <c r="C43" s="49"/>
    </row>
    <row r="44" spans="1:4" ht="15.75" thickBot="1">
      <c r="A44" s="1" t="s">
        <v>52</v>
      </c>
      <c r="B44" s="51">
        <f>SUM(B28:B42)+B24</f>
        <v>34383.049999999996</v>
      </c>
      <c r="C44" s="51">
        <f>SUM(C28:C42)+C24</f>
        <v>32964.630000000005</v>
      </c>
      <c r="D44" s="55">
        <f>SUM(D28:D42)+D24</f>
        <v>33187.061100000006</v>
      </c>
    </row>
    <row r="45" spans="1:4">
      <c r="B45" s="42"/>
      <c r="C45" s="52"/>
      <c r="D45" s="56"/>
    </row>
    <row r="46" spans="1:4">
      <c r="A46" s="18" t="s">
        <v>62</v>
      </c>
      <c r="B46" s="57">
        <f>B19-B44</f>
        <v>-756.70999999999913</v>
      </c>
      <c r="C46" s="58">
        <f>C19-C44</f>
        <v>965.98999999999796</v>
      </c>
      <c r="D46" s="59">
        <f>D19-D44</f>
        <v>1482.7782029068549</v>
      </c>
    </row>
    <row r="47" spans="1:4">
      <c r="B47" s="4"/>
      <c r="C47" s="5"/>
    </row>
    <row r="48" spans="1:4">
      <c r="B48" s="4"/>
      <c r="C48" s="5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Accounts Summary</vt:lpstr>
      <vt:lpstr>Budget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Anwen Quartley</dc:creator>
  <cp:lastModifiedBy>Claire Powlesland</cp:lastModifiedBy>
  <cp:lastPrinted>2026-06-01T16:02:47Z</cp:lastPrinted>
  <dcterms:created xsi:type="dcterms:W3CDTF">2026-06-01T14:26:06Z</dcterms:created>
  <dcterms:modified xsi:type="dcterms:W3CDTF">2026-06-01T16:04:21Z</dcterms:modified>
</cp:coreProperties>
</file>